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9905" windowHeight="12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7" i="1"/>
  <c r="L6"/>
  <c r="J32"/>
  <c r="J14"/>
  <c r="J28" s="1"/>
  <c r="L13"/>
  <c r="J13"/>
  <c r="J27" s="1"/>
  <c r="J12"/>
  <c r="J26" s="1"/>
  <c r="J11"/>
  <c r="L11" s="1"/>
  <c r="J10"/>
  <c r="L10" s="1"/>
  <c r="J7"/>
  <c r="L7" s="1"/>
  <c r="J8"/>
  <c r="L8" s="1"/>
  <c r="J9"/>
  <c r="L9" s="1"/>
  <c r="J23"/>
  <c r="J22"/>
  <c r="J21"/>
  <c r="J20"/>
  <c r="J24"/>
  <c r="J25" l="1"/>
  <c r="J29" s="1"/>
  <c r="L14"/>
  <c r="J5"/>
  <c r="J6"/>
  <c r="J17" s="1"/>
  <c r="L12"/>
  <c r="L5"/>
  <c r="J15"/>
  <c r="J37"/>
  <c r="J34"/>
  <c r="J33" s="1"/>
  <c r="I17" l="1"/>
  <c r="L15"/>
  <c r="J16" s="1"/>
  <c r="J38"/>
  <c r="J35"/>
  <c r="J36" s="1"/>
</calcChain>
</file>

<file path=xl/sharedStrings.xml><?xml version="1.0" encoding="utf-8"?>
<sst xmlns="http://schemas.openxmlformats.org/spreadsheetml/2006/main" count="131" uniqueCount="65">
  <si>
    <t>Producer</t>
  </si>
  <si>
    <t>Mix ID</t>
  </si>
  <si>
    <t>Aggregate Source</t>
  </si>
  <si>
    <t>Aggregate Type</t>
  </si>
  <si>
    <t>Aggregate ID</t>
  </si>
  <si>
    <t>Aggregate Gradation</t>
  </si>
  <si>
    <t>Amounts holding, 1/2 inch sieve</t>
  </si>
  <si>
    <t>Amounts passing, #4 sieve</t>
  </si>
  <si>
    <t>Amounts passing, #8 sieve</t>
  </si>
  <si>
    <t>percent</t>
  </si>
  <si>
    <t>Measure volume</t>
  </si>
  <si>
    <t>cubic feet</t>
  </si>
  <si>
    <t>Measure weight</t>
  </si>
  <si>
    <t>pounds</t>
  </si>
  <si>
    <t>Aggregate absorption</t>
  </si>
  <si>
    <t>Mix Proportions</t>
  </si>
  <si>
    <t>Aggregate Properties</t>
  </si>
  <si>
    <t>Cementitious</t>
  </si>
  <si>
    <t>pounds / cubic yard</t>
  </si>
  <si>
    <t>Pozzolan</t>
  </si>
  <si>
    <t>percent of cementitious</t>
  </si>
  <si>
    <t>Water</t>
  </si>
  <si>
    <t>ratio, water / cementitious</t>
  </si>
  <si>
    <t>Water reducer</t>
  </si>
  <si>
    <t>ounces / 100 pounds cementitious</t>
  </si>
  <si>
    <t>Specific Gravity</t>
  </si>
  <si>
    <t>Aggregate, SSD</t>
  </si>
  <si>
    <t>Cement</t>
  </si>
  <si>
    <t>Color, solids only</t>
  </si>
  <si>
    <t>Color solids</t>
  </si>
  <si>
    <t>Total</t>
  </si>
  <si>
    <t>Voids</t>
  </si>
  <si>
    <t>ounces</t>
  </si>
  <si>
    <t>Aggregate voids</t>
  </si>
  <si>
    <t>Total unit weight</t>
  </si>
  <si>
    <t>Absorption shift</t>
  </si>
  <si>
    <t>specific gravity</t>
  </si>
  <si>
    <t>Absorption shift, water / cubic yard</t>
  </si>
  <si>
    <t>gallons</t>
  </si>
  <si>
    <t>Absorption shift, water / cubic foot</t>
  </si>
  <si>
    <t>Batch Weight Per Cubic Foot</t>
  </si>
  <si>
    <t>Batch Weight Per Cubic Yard</t>
  </si>
  <si>
    <t>Calculated Values</t>
  </si>
  <si>
    <t>Gross weight, measure + agg, dry rod</t>
  </si>
  <si>
    <t>SSD</t>
  </si>
  <si>
    <t>Hydration stabilizing admixture</t>
  </si>
  <si>
    <t>Viscosity modifying admixture</t>
  </si>
  <si>
    <t>Water reducing admixture</t>
  </si>
  <si>
    <t>pounds / 100 pounds cementitious</t>
  </si>
  <si>
    <t>Color solids, integral wet</t>
  </si>
  <si>
    <t>Weight / cubic yard, oven dry</t>
  </si>
  <si>
    <t>Weight / cubic foot, oven dry</t>
  </si>
  <si>
    <t>Viscosity Modifying admixture</t>
  </si>
  <si>
    <t>70%angular stone,30%gravel</t>
  </si>
  <si>
    <t>Input values</t>
  </si>
  <si>
    <t>stock #89</t>
  </si>
  <si>
    <t>local</t>
  </si>
  <si>
    <t>Added water</t>
  </si>
  <si>
    <t>Aggregate moisture variation, SSD to oven dry</t>
  </si>
  <si>
    <t>Fiber</t>
  </si>
  <si>
    <t>Specialty admixture</t>
  </si>
  <si>
    <t>Specialty Admixture</t>
  </si>
  <si>
    <t>wet voids</t>
  </si>
  <si>
    <t>Generic Rock Products</t>
  </si>
  <si>
    <t>pervious 101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</si>
</sst>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Protection="1">
      <protection locked="0"/>
    </xf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28575</xdr:rowOff>
    </xdr:from>
    <xdr:to>
      <xdr:col>8</xdr:col>
      <xdr:colOff>2076450</xdr:colOff>
      <xdr:row>3</xdr:row>
      <xdr:rowOff>28575</xdr:rowOff>
    </xdr:to>
    <xdr:pic>
      <xdr:nvPicPr>
        <xdr:cNvPr id="1037" name="Picture 2" descr="B106n6flatTw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28575"/>
          <a:ext cx="26955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34</xdr:row>
      <xdr:rowOff>95250</xdr:rowOff>
    </xdr:from>
    <xdr:to>
      <xdr:col>8</xdr:col>
      <xdr:colOff>0</xdr:colOff>
      <xdr:row>39</xdr:row>
      <xdr:rowOff>19050</xdr:rowOff>
    </xdr:to>
    <xdr:pic>
      <xdr:nvPicPr>
        <xdr:cNvPr id="1038" name="Picture 3" descr="springsCopy1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90925" y="6477000"/>
          <a:ext cx="2743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Normal="100" workbookViewId="0">
      <selection activeCell="C2" sqref="C2"/>
    </sheetView>
  </sheetViews>
  <sheetFormatPr defaultRowHeight="15"/>
  <cols>
    <col min="2" max="2" width="33.85546875" customWidth="1"/>
    <col min="3" max="3" width="6.28515625" customWidth="1"/>
    <col min="9" max="9" width="36.140625" customWidth="1"/>
    <col min="10" max="10" width="6.7109375" customWidth="1"/>
    <col min="11" max="11" width="14" customWidth="1"/>
  </cols>
  <sheetData>
    <row r="1" spans="1:13">
      <c r="B1" t="s">
        <v>0</v>
      </c>
      <c r="C1" s="4" t="s">
        <v>63</v>
      </c>
      <c r="D1" s="3"/>
      <c r="E1" s="3"/>
      <c r="F1" s="3"/>
    </row>
    <row r="2" spans="1:13">
      <c r="B2" t="s">
        <v>1</v>
      </c>
      <c r="C2" s="4" t="s">
        <v>64</v>
      </c>
      <c r="D2" s="3"/>
      <c r="E2" s="3"/>
      <c r="F2" s="3"/>
    </row>
    <row r="3" spans="1:13" ht="18.75">
      <c r="B3" t="s">
        <v>4</v>
      </c>
      <c r="C3" s="4" t="s">
        <v>55</v>
      </c>
      <c r="D3" s="3"/>
      <c r="E3" s="3"/>
      <c r="F3" s="3"/>
      <c r="J3" s="7" t="s">
        <v>42</v>
      </c>
      <c r="K3" s="7"/>
    </row>
    <row r="4" spans="1:13">
      <c r="B4" t="s">
        <v>3</v>
      </c>
      <c r="C4" s="4" t="s">
        <v>53</v>
      </c>
      <c r="D4" s="3"/>
      <c r="E4" s="3"/>
      <c r="F4" s="3"/>
      <c r="H4" t="s">
        <v>41</v>
      </c>
    </row>
    <row r="5" spans="1:13">
      <c r="B5" t="s">
        <v>2</v>
      </c>
      <c r="C5" s="4" t="s">
        <v>56</v>
      </c>
      <c r="D5" s="3"/>
      <c r="E5" s="3"/>
      <c r="F5" s="3"/>
      <c r="I5" t="s">
        <v>26</v>
      </c>
      <c r="J5" s="2">
        <f>J20*27</f>
        <v>2683.8</v>
      </c>
      <c r="K5" t="s">
        <v>13</v>
      </c>
      <c r="L5" s="2">
        <f>(J5/C31)/62.3</f>
        <v>16.762121278363136</v>
      </c>
      <c r="M5" t="s">
        <v>11</v>
      </c>
    </row>
    <row r="6" spans="1:13" ht="18.75">
      <c r="C6" s="6" t="s">
        <v>54</v>
      </c>
      <c r="D6" s="5"/>
      <c r="E6" s="5"/>
      <c r="F6" s="5"/>
      <c r="I6" t="s">
        <v>33</v>
      </c>
      <c r="J6" s="1">
        <f>100-(100*(J20/C31)/62.3)</f>
        <v>37.918069339395778</v>
      </c>
      <c r="K6" t="s">
        <v>9</v>
      </c>
      <c r="L6">
        <f>SUM((C17/C13)/62.3)*100</f>
        <v>32.423756019261639</v>
      </c>
      <c r="M6" t="s">
        <v>62</v>
      </c>
    </row>
    <row r="7" spans="1:13">
      <c r="A7" t="s">
        <v>5</v>
      </c>
      <c r="I7" t="s">
        <v>27</v>
      </c>
      <c r="J7" s="2">
        <f>(C20*(1-(C21/100)))</f>
        <v>438.17532</v>
      </c>
      <c r="K7" t="s">
        <v>13</v>
      </c>
      <c r="L7" s="2">
        <f>(J7/C32)/62.3</f>
        <v>2.232797370633647</v>
      </c>
      <c r="M7" t="s">
        <v>11</v>
      </c>
    </row>
    <row r="8" spans="1:13">
      <c r="B8" t="s">
        <v>6</v>
      </c>
      <c r="C8" s="4">
        <v>0.1</v>
      </c>
      <c r="D8" t="s">
        <v>9</v>
      </c>
      <c r="I8" t="s">
        <v>19</v>
      </c>
      <c r="J8" s="2">
        <f>(C20*(C21/100))</f>
        <v>46.424680000000002</v>
      </c>
      <c r="K8" t="s">
        <v>13</v>
      </c>
      <c r="L8" s="2">
        <f>(J8/C33)/62.3</f>
        <v>0.27701838448089655</v>
      </c>
      <c r="M8" t="s">
        <v>11</v>
      </c>
    </row>
    <row r="9" spans="1:13">
      <c r="B9" t="s">
        <v>7</v>
      </c>
      <c r="C9" s="4">
        <v>60.8</v>
      </c>
      <c r="D9" t="s">
        <v>9</v>
      </c>
      <c r="I9" t="s">
        <v>21</v>
      </c>
      <c r="J9" s="2">
        <f>C20*C22</f>
        <v>185.60180000000003</v>
      </c>
      <c r="K9" t="s">
        <v>13</v>
      </c>
      <c r="L9" s="2">
        <f>J9/62.3</f>
        <v>2.979162118780097</v>
      </c>
      <c r="M9" t="s">
        <v>11</v>
      </c>
    </row>
    <row r="10" spans="1:13">
      <c r="B10" t="s">
        <v>8</v>
      </c>
      <c r="C10" s="4">
        <v>16.399999999999999</v>
      </c>
      <c r="D10" t="s">
        <v>9</v>
      </c>
      <c r="I10" t="s">
        <v>45</v>
      </c>
      <c r="J10" s="2">
        <f>(C20/100)*C24</f>
        <v>58.152000000000001</v>
      </c>
      <c r="K10" t="s">
        <v>32</v>
      </c>
      <c r="L10" s="2">
        <f>((J10/16)/C34)/62.3</f>
        <v>5.7761073057546526E-2</v>
      </c>
      <c r="M10" t="s">
        <v>11</v>
      </c>
    </row>
    <row r="11" spans="1:13">
      <c r="I11" t="s">
        <v>47</v>
      </c>
      <c r="J11" s="2">
        <f>(C20/100)*C23</f>
        <v>9.6920000000000002</v>
      </c>
      <c r="K11" t="s">
        <v>32</v>
      </c>
      <c r="L11" s="2">
        <f>((J11/16)/C35)/62.3</f>
        <v>9.6268455095910883E-3</v>
      </c>
      <c r="M11" t="s">
        <v>11</v>
      </c>
    </row>
    <row r="12" spans="1:13">
      <c r="A12" t="s">
        <v>16</v>
      </c>
      <c r="I12" t="s">
        <v>46</v>
      </c>
      <c r="J12" s="2">
        <f>(C20/100)*C25</f>
        <v>0</v>
      </c>
      <c r="K12" t="s">
        <v>32</v>
      </c>
      <c r="L12" s="2">
        <f>((J12/16)/C36)/62.3</f>
        <v>0</v>
      </c>
      <c r="M12" t="s">
        <v>11</v>
      </c>
    </row>
    <row r="13" spans="1:13">
      <c r="B13" t="s">
        <v>10</v>
      </c>
      <c r="C13" s="4">
        <v>0.5</v>
      </c>
      <c r="D13" t="s">
        <v>11</v>
      </c>
      <c r="I13" t="s">
        <v>60</v>
      </c>
      <c r="J13" s="2">
        <f>(C20/100)*C26</f>
        <v>0</v>
      </c>
      <c r="K13" t="s">
        <v>32</v>
      </c>
      <c r="L13" s="2">
        <f>((C26/16)/C37)/62.3</f>
        <v>0</v>
      </c>
      <c r="M13" t="s">
        <v>11</v>
      </c>
    </row>
    <row r="14" spans="1:13">
      <c r="B14" t="s">
        <v>12</v>
      </c>
      <c r="C14" s="4">
        <v>16.47</v>
      </c>
      <c r="D14" t="s">
        <v>13</v>
      </c>
      <c r="I14" t="s">
        <v>29</v>
      </c>
      <c r="J14" s="2">
        <f>(C20/100)*C27</f>
        <v>0</v>
      </c>
      <c r="K14" t="s">
        <v>13</v>
      </c>
      <c r="L14" s="2">
        <f>(J14/C38)/62.3</f>
        <v>0</v>
      </c>
      <c r="M14" t="s">
        <v>11</v>
      </c>
    </row>
    <row r="15" spans="1:13">
      <c r="B15" t="s">
        <v>43</v>
      </c>
      <c r="C15" s="4">
        <v>66.17</v>
      </c>
      <c r="D15" t="s">
        <v>13</v>
      </c>
      <c r="E15" t="s">
        <v>44</v>
      </c>
      <c r="I15" t="s">
        <v>30</v>
      </c>
      <c r="J15" s="2">
        <f>J5+J7+J8+J9+(J10/16)+(J11/16)+(J12/16)+(J13/16)+J14</f>
        <v>3358.2420500000003</v>
      </c>
      <c r="K15" t="s">
        <v>13</v>
      </c>
      <c r="L15" s="2">
        <f>L5+L7+L8+L9+L10+L11+L12+L13+L14</f>
        <v>22.318487070824911</v>
      </c>
      <c r="M15" t="s">
        <v>11</v>
      </c>
    </row>
    <row r="16" spans="1:13">
      <c r="B16" t="s">
        <v>14</v>
      </c>
      <c r="C16" s="4">
        <v>1.5</v>
      </c>
      <c r="D16" t="s">
        <v>9</v>
      </c>
      <c r="I16" t="s">
        <v>31</v>
      </c>
      <c r="J16" s="1">
        <f>100-(100*(L15/27))</f>
        <v>17.338936774722541</v>
      </c>
      <c r="K16" t="s">
        <v>9</v>
      </c>
    </row>
    <row r="17" spans="1:11">
      <c r="B17" t="s">
        <v>57</v>
      </c>
      <c r="C17" s="4">
        <v>10.1</v>
      </c>
      <c r="D17" t="s">
        <v>13</v>
      </c>
      <c r="I17" t="str">
        <f>IF(L6&lt;J6,"voids may reduce by:","")</f>
        <v>voids may reduce by:</v>
      </c>
      <c r="J17">
        <f>IF(J6&lt;L6,"",J6-L6)</f>
        <v>5.4943133201341396</v>
      </c>
      <c r="K17" t="str">
        <f>IF(J6&gt;L6,"percent","")</f>
        <v>percent</v>
      </c>
    </row>
    <row r="18" spans="1:11">
      <c r="C18" s="4"/>
    </row>
    <row r="19" spans="1:11">
      <c r="A19" t="s">
        <v>15</v>
      </c>
      <c r="H19" t="s">
        <v>40</v>
      </c>
    </row>
    <row r="20" spans="1:11">
      <c r="B20" t="s">
        <v>17</v>
      </c>
      <c r="C20" s="4">
        <v>484.6</v>
      </c>
      <c r="D20" t="s">
        <v>18</v>
      </c>
      <c r="I20" t="s">
        <v>26</v>
      </c>
      <c r="J20" s="2">
        <f>(C15-C14)/C13</f>
        <v>99.4</v>
      </c>
      <c r="K20" t="s">
        <v>13</v>
      </c>
    </row>
    <row r="21" spans="1:11">
      <c r="B21" t="s">
        <v>19</v>
      </c>
      <c r="C21" s="4">
        <v>9.58</v>
      </c>
      <c r="D21" t="s">
        <v>20</v>
      </c>
      <c r="I21" t="s">
        <v>27</v>
      </c>
      <c r="J21" s="2">
        <f>((C20/27)*(1-(C21/100)))</f>
        <v>16.228715555555556</v>
      </c>
      <c r="K21" t="s">
        <v>13</v>
      </c>
    </row>
    <row r="22" spans="1:11">
      <c r="B22" t="s">
        <v>21</v>
      </c>
      <c r="C22" s="4">
        <v>0.38300000000000001</v>
      </c>
      <c r="D22" t="s">
        <v>22</v>
      </c>
      <c r="I22" t="s">
        <v>19</v>
      </c>
      <c r="J22" s="2">
        <f>(C20/27)*(C21/100)</f>
        <v>1.7194325925925926</v>
      </c>
      <c r="K22" t="s">
        <v>13</v>
      </c>
    </row>
    <row r="23" spans="1:11">
      <c r="B23" t="s">
        <v>23</v>
      </c>
      <c r="C23" s="4">
        <v>2</v>
      </c>
      <c r="D23" t="s">
        <v>24</v>
      </c>
      <c r="I23" t="s">
        <v>21</v>
      </c>
      <c r="J23" s="2">
        <f>(C20/27)*C22</f>
        <v>6.8741407407407413</v>
      </c>
      <c r="K23" t="s">
        <v>13</v>
      </c>
    </row>
    <row r="24" spans="1:11">
      <c r="B24" t="s">
        <v>45</v>
      </c>
      <c r="C24" s="4">
        <v>12</v>
      </c>
      <c r="D24" t="s">
        <v>24</v>
      </c>
      <c r="I24" t="s">
        <v>45</v>
      </c>
      <c r="J24" s="2">
        <f>J10/27</f>
        <v>2.153777777777778</v>
      </c>
      <c r="K24" t="s">
        <v>32</v>
      </c>
    </row>
    <row r="25" spans="1:11">
      <c r="B25" t="s">
        <v>46</v>
      </c>
      <c r="C25" s="4">
        <v>0</v>
      </c>
      <c r="D25" t="s">
        <v>24</v>
      </c>
      <c r="I25" t="s">
        <v>47</v>
      </c>
      <c r="J25" s="2">
        <f>J11/27</f>
        <v>0.35896296296296298</v>
      </c>
      <c r="K25" t="s">
        <v>32</v>
      </c>
    </row>
    <row r="26" spans="1:11">
      <c r="B26" t="s">
        <v>60</v>
      </c>
      <c r="C26" s="4">
        <v>0</v>
      </c>
      <c r="D26" t="s">
        <v>24</v>
      </c>
      <c r="I26" t="s">
        <v>46</v>
      </c>
      <c r="J26" s="2">
        <f>J12/27</f>
        <v>0</v>
      </c>
      <c r="K26" t="s">
        <v>32</v>
      </c>
    </row>
    <row r="27" spans="1:11">
      <c r="B27" t="s">
        <v>49</v>
      </c>
      <c r="C27" s="4">
        <v>0</v>
      </c>
      <c r="D27" t="s">
        <v>48</v>
      </c>
      <c r="I27" t="s">
        <v>60</v>
      </c>
      <c r="J27" s="2">
        <f>J13/27</f>
        <v>0</v>
      </c>
      <c r="K27" t="s">
        <v>32</v>
      </c>
    </row>
    <row r="28" spans="1:11">
      <c r="B28" t="s">
        <v>59</v>
      </c>
      <c r="C28" s="4">
        <v>1</v>
      </c>
      <c r="D28" t="s">
        <v>18</v>
      </c>
      <c r="I28" t="s">
        <v>29</v>
      </c>
      <c r="J28" s="2">
        <f>(J14/27)*16</f>
        <v>0</v>
      </c>
      <c r="K28" t="s">
        <v>32</v>
      </c>
    </row>
    <row r="29" spans="1:11">
      <c r="I29" t="s">
        <v>34</v>
      </c>
      <c r="J29" s="1">
        <f>J20+J21+J22+J23+(J24/16)+(J25/16)+(J26/16)+(J27/16)+(J28/16)</f>
        <v>124.3793351851852</v>
      </c>
      <c r="K29" t="s">
        <v>13</v>
      </c>
    </row>
    <row r="30" spans="1:11">
      <c r="A30" t="s">
        <v>25</v>
      </c>
    </row>
    <row r="31" spans="1:11">
      <c r="B31" t="s">
        <v>26</v>
      </c>
      <c r="C31" s="4">
        <v>2.57</v>
      </c>
      <c r="H31" t="s">
        <v>58</v>
      </c>
    </row>
    <row r="32" spans="1:11">
      <c r="B32" t="s">
        <v>27</v>
      </c>
      <c r="C32" s="4">
        <v>3.15</v>
      </c>
      <c r="I32" t="s">
        <v>35</v>
      </c>
      <c r="J32" s="2">
        <f>C31*(C16/100)</f>
        <v>3.8549999999999994E-2</v>
      </c>
      <c r="K32" t="s">
        <v>36</v>
      </c>
    </row>
    <row r="33" spans="2:11">
      <c r="B33" t="s">
        <v>19</v>
      </c>
      <c r="C33" s="4">
        <v>2.69</v>
      </c>
      <c r="I33" t="s">
        <v>50</v>
      </c>
      <c r="J33" s="2">
        <f>J34*27</f>
        <v>2643.5430000000001</v>
      </c>
      <c r="K33" t="s">
        <v>13</v>
      </c>
    </row>
    <row r="34" spans="2:11">
      <c r="B34" t="s">
        <v>45</v>
      </c>
      <c r="C34" s="4">
        <v>1.01</v>
      </c>
      <c r="I34" t="s">
        <v>51</v>
      </c>
      <c r="J34" s="2">
        <f>J20-((C16/100)*J20)</f>
        <v>97.909000000000006</v>
      </c>
      <c r="K34" t="s">
        <v>13</v>
      </c>
    </row>
    <row r="35" spans="2:11">
      <c r="B35" t="s">
        <v>47</v>
      </c>
      <c r="C35" s="4">
        <v>1.01</v>
      </c>
      <c r="I35" t="s">
        <v>37</v>
      </c>
      <c r="J35" s="2">
        <f>J37*27</f>
        <v>40.257000000000005</v>
      </c>
      <c r="K35" t="s">
        <v>13</v>
      </c>
    </row>
    <row r="36" spans="2:11">
      <c r="B36" t="s">
        <v>52</v>
      </c>
      <c r="C36" s="4">
        <v>0.92</v>
      </c>
      <c r="I36" t="s">
        <v>37</v>
      </c>
      <c r="J36" s="2">
        <f>J35/8.3333</f>
        <v>4.830859323437295</v>
      </c>
      <c r="K36" t="s">
        <v>38</v>
      </c>
    </row>
    <row r="37" spans="2:11" ht="18">
      <c r="B37" t="s">
        <v>61</v>
      </c>
      <c r="C37" s="4">
        <v>0.96</v>
      </c>
      <c r="E37" s="8"/>
      <c r="I37" t="s">
        <v>39</v>
      </c>
      <c r="J37" s="2">
        <f>J20*(C16/100)</f>
        <v>1.4910000000000001</v>
      </c>
      <c r="K37" t="s">
        <v>13</v>
      </c>
    </row>
    <row r="38" spans="2:11">
      <c r="B38" t="s">
        <v>28</v>
      </c>
      <c r="C38" s="4">
        <v>3.45</v>
      </c>
      <c r="I38" t="s">
        <v>39</v>
      </c>
      <c r="J38" s="2">
        <f>J37*16</f>
        <v>23.856000000000002</v>
      </c>
      <c r="K38" t="s">
        <v>32</v>
      </c>
    </row>
  </sheetData>
  <sheetProtection password="C572" sheet="1" objects="1" scenarios="1"/>
  <pageMargins left="0.7" right="0.7" top="0.75" bottom="0.75" header="0.3" footer="0.3"/>
  <pageSetup orientation="portrait" horizontalDpi="3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Mitchell</dc:creator>
  <cp:lastModifiedBy>David</cp:lastModifiedBy>
  <dcterms:created xsi:type="dcterms:W3CDTF">2008-11-19T04:39:39Z</dcterms:created>
  <dcterms:modified xsi:type="dcterms:W3CDTF">2011-11-01T19:24:44Z</dcterms:modified>
</cp:coreProperties>
</file>